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8" windowWidth="15876" windowHeight="13056" activeTab="0"/>
  </bookViews>
  <sheets>
    <sheet name="ноябрь" sheetId="1" r:id="rId1"/>
  </sheets>
  <definedNames>
    <definedName name="_xlnm.Print_Area" localSheetId="0">'ноябрь'!$A$1:$G$149</definedName>
  </definedNames>
  <calcPr fullCalcOnLoad="1"/>
</workbook>
</file>

<file path=xl/sharedStrings.xml><?xml version="1.0" encoding="utf-8"?>
<sst xmlns="http://schemas.openxmlformats.org/spreadsheetml/2006/main" count="221" uniqueCount="218">
  <si>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</si>
  <si>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</si>
  <si>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</si>
  <si>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</si>
  <si>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</si>
  <si>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</si>
  <si>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</si>
  <si>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</si>
  <si>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</si>
  <si>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</si>
  <si>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</si>
  <si>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</si>
  <si>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</si>
  <si>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</si>
  <si>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</si>
  <si>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</si>
  <si>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</si>
  <si>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</si>
  <si>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</si>
  <si>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</si>
  <si>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</si>
  <si>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</si>
  <si>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</si>
  <si>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</si>
  <si>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</si>
  <si>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</si>
  <si>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</si>
  <si>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</si>
  <si>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</si>
  <si>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</si>
  <si>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</si>
  <si>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</si>
  <si>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</si>
  <si>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</si>
  <si>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</si>
  <si>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</si>
  <si>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</si>
  <si>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</si>
  <si>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</si>
  <si>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</si>
  <si>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</si>
  <si>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</si>
  <si>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</si>
  <si>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</si>
  <si>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</si>
  <si>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</si>
  <si>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</si>
  <si>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</si>
  <si>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</si>
  <si>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</si>
  <si>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</si>
  <si>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</si>
  <si>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</si>
  <si>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</si>
  <si>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</si>
  <si>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</si>
  <si>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</si>
  <si>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</si>
  <si>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</si>
  <si>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</si>
  <si>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</si>
  <si>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</si>
  <si>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</si>
  <si>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</si>
  <si>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</si>
  <si>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</si>
  <si>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</si>
  <si>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</si>
  <si>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</si>
  <si>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</si>
  <si>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</si>
  <si>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</si>
  <si>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</si>
  <si>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</si>
  <si>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</si>
  <si>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</si>
  <si>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</si>
  <si>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</si>
  <si>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</si>
  <si>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</si>
  <si>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</si>
  <si>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</si>
  <si>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</si>
  <si>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</si>
  <si>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</si>
  <si>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</si>
  <si>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</si>
  <si>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</si>
  <si>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</si>
  <si>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</si>
  <si>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</si>
  <si>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</si>
  <si>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</si>
  <si>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</si>
  <si>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</si>
  <si>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</si>
  <si>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</si>
  <si>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</si>
  <si>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</si>
  <si>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</si>
  <si>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</si>
  <si>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</si>
  <si>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</si>
  <si>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</si>
  <si>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</si>
  <si>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</si>
  <si>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</si>
  <si>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</si>
  <si>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</si>
  <si>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</si>
  <si>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</si>
  <si>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</si>
  <si>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</si>
  <si>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</si>
  <si>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</si>
  <si>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</si>
  <si>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</si>
  <si>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</si>
  <si>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</si>
  <si>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</si>
  <si>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</si>
  <si>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</si>
  <si>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</si>
  <si>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</si>
  <si>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</si>
  <si>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</si>
  <si>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</si>
  <si>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</si>
  <si>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</si>
  <si>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</si>
  <si>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</si>
  <si>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</si>
  <si>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</si>
  <si>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</si>
  <si>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</si>
  <si>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</si>
  <si>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</si>
  <si>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</si>
  <si>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</si>
  <si>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</si>
  <si>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</si>
  <si>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</si>
  <si>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</si>
  <si>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</si>
  <si>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</si>
  <si>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</si>
  <si>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</si>
  <si>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</si>
  <si>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</si>
  <si>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</si>
  <si>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</si>
  <si>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</si>
  <si>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</si>
  <si>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</si>
  <si>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</si>
  <si>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</si>
  <si>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</si>
  <si>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</si>
  <si>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</si>
  <si>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</si>
  <si>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</si>
  <si>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</si>
  <si>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</si>
  <si>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</si>
  <si>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</si>
  <si>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</si>
  <si>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</si>
  <si>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</si>
  <si>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</si>
  <si>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</si>
  <si>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</si>
  <si>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</si>
  <si>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</si>
  <si>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</si>
  <si>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</si>
  <si>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</si>
  <si>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</si>
  <si>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</si>
  <si>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</si>
  <si>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</si>
  <si>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</si>
  <si>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</si>
  <si>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</si>
  <si>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</si>
  <si>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</si>
  <si>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</si>
  <si>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</si>
  <si>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</si>
  <si>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</si>
  <si>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</si>
  <si>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</si>
  <si>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</si>
  <si>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 на софинансирование средств федерального бюджета)</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</si>
  <si>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</si>
  <si>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000 2 02 30024 00 0000 150</t>
  </si>
  <si>
    <t>Приложение  № 2</t>
  </si>
  <si>
    <t>992 2 02 45303 04 9713 150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</si>
  <si>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</si>
  <si>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992 2 02 25306 04 9536 150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</si>
  <si>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</si>
  <si>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</si>
  <si>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</si>
  <si>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</si>
  <si>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</si>
  <si>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</si>
  <si>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</si>
  <si>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</si>
  <si>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</si>
  <si>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</si>
  <si>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000 2 02 25304 04 9248 150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</si>
  <si>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</si>
  <si>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</si>
  <si>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</si>
  <si>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000 2 02 29999 04 9217 150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</si>
  <si>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</si>
  <si>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(дошкольное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</si>
  <si>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</si>
  <si>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000 2 02 35084 04 9374 150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</si>
</sst>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_ ;\-#,##0.0\ "/>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0">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Border="1" applyAlignment="1">
      <alignment horizontal="center"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176" fontId="12" fillId="0" borderId="13" xfId="81" applyNumberFormat="1" applyFont="1" applyFill="1" applyBorder="1" applyAlignment="1">
      <alignment vertical="center"/>
    </xf>
    <xf numFmtId="0" fontId="9" fillId="0" borderId="20" xfId="0" applyFont="1" applyFill="1" applyBorder="1" applyAlignment="1">
      <alignment horizontal="center" wrapText="1"/>
    </xf>
    <xf numFmtId="176" fontId="16" fillId="0" borderId="13" xfId="81" applyNumberFormat="1" applyFont="1" applyFill="1" applyBorder="1" applyAlignment="1">
      <alignment vertical="center"/>
    </xf>
    <xf numFmtId="176" fontId="9" fillId="0" borderId="0" xfId="0" applyNumberFormat="1" applyFont="1" applyAlignment="1">
      <alignment vertical="center"/>
    </xf>
    <xf numFmtId="176" fontId="9" fillId="0" borderId="13" xfId="0" applyNumberFormat="1" applyFont="1" applyFill="1" applyBorder="1" applyAlignment="1">
      <alignment vertical="center"/>
    </xf>
    <xf numFmtId="189" fontId="9" fillId="0" borderId="13" xfId="81" applyNumberFormat="1" applyFont="1" applyFill="1" applyBorder="1" applyAlignment="1">
      <alignment vertical="center"/>
    </xf>
    <xf numFmtId="189" fontId="9" fillId="0" borderId="13" xfId="81" applyNumberFormat="1" applyFont="1" applyBorder="1" applyAlignment="1" applyProtection="1">
      <alignment vertical="center" wrapText="1"/>
      <protection/>
    </xf>
    <xf numFmtId="49" fontId="12" fillId="39" borderId="12" xfId="0" applyNumberFormat="1" applyFont="1" applyFill="1" applyBorder="1" applyAlignment="1">
      <alignment horizontal="center" vertical="center" wrapText="1"/>
    </xf>
    <xf numFmtId="176" fontId="9" fillId="42" borderId="0" xfId="81" applyNumberFormat="1" applyFont="1" applyFill="1" applyBorder="1" applyAlignment="1">
      <alignment vertic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0" xfId="0" applyBorder="1" applyAlignment="1">
      <alignment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0" xfId="0" applyFont="1" applyFill="1" applyBorder="1" applyAlignment="1">
      <alignment horizontal="center"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16"/>
  <sheetViews>
    <sheetView tabSelected="1" view="pageBreakPreview" zoomScale="96" zoomScaleSheetLayoutView="96" zoomScalePageLayoutView="0" workbookViewId="0" topLeftCell="A1">
      <selection activeCell="E109" sqref="E109"/>
    </sheetView>
  </sheetViews>
  <sheetFormatPr defaultColWidth="9.00390625" defaultRowHeight="12.75"/>
  <cols>
    <col min="1" max="1" width="5.625" style="0" customWidth="1"/>
    <col min="2" max="2" width="6.00390625" style="6" customWidth="1"/>
    <col min="3" max="3" width="61.625" style="6" customWidth="1"/>
    <col min="4" max="4" width="24.50390625" style="6" customWidth="1"/>
    <col min="5" max="5" width="18.50390625" style="6" customWidth="1"/>
    <col min="6" max="6" width="20.625" style="0" customWidth="1"/>
    <col min="7" max="7" width="19.125" style="0" customWidth="1"/>
    <col min="8" max="8" width="19.00390625" style="12" customWidth="1"/>
    <col min="9" max="9" width="19.125" style="12" hidden="1" customWidth="1"/>
    <col min="10" max="10" width="17.875" style="73" hidden="1" customWidth="1"/>
    <col min="11" max="11" width="17.875" style="73" customWidth="1"/>
    <col min="12" max="12" width="17.00390625" style="78" customWidth="1"/>
    <col min="13" max="13" width="8.875" style="12" customWidth="1"/>
  </cols>
  <sheetData>
    <row r="1" spans="5:9" ht="12.75">
      <c r="E1" s="16"/>
      <c r="F1" s="132" t="s">
        <v>195</v>
      </c>
      <c r="G1" s="132"/>
      <c r="H1" s="77"/>
      <c r="I1" s="77"/>
    </row>
    <row r="2" spans="5:9" ht="12.75">
      <c r="E2" s="16"/>
      <c r="F2" s="18" t="s">
        <v>85</v>
      </c>
      <c r="G2" s="17" t="s">
        <v>28</v>
      </c>
      <c r="H2" s="77"/>
      <c r="I2" s="77"/>
    </row>
    <row r="3" spans="5:9" ht="33.75" customHeight="1">
      <c r="E3" s="133" t="s">
        <v>80</v>
      </c>
      <c r="F3" s="134"/>
      <c r="G3" s="134"/>
      <c r="H3" s="79"/>
      <c r="I3" s="79"/>
    </row>
    <row r="4" spans="5:9" ht="18" customHeight="1">
      <c r="E4" s="132" t="s">
        <v>181</v>
      </c>
      <c r="F4" s="132"/>
      <c r="G4" s="132"/>
      <c r="H4" s="77"/>
      <c r="I4" s="77"/>
    </row>
    <row r="5" spans="3:9" ht="29.25" customHeight="1">
      <c r="C5" s="135" t="s">
        <v>155</v>
      </c>
      <c r="D5" s="136"/>
      <c r="E5" s="136"/>
      <c r="F5" s="136"/>
      <c r="G5" s="136"/>
      <c r="H5" s="10"/>
      <c r="I5" s="10"/>
    </row>
    <row r="6" spans="3:9" ht="18" customHeight="1">
      <c r="C6" s="8"/>
      <c r="D6" s="10"/>
      <c r="E6" s="9"/>
      <c r="F6" s="10"/>
      <c r="G6" s="20" t="s">
        <v>50</v>
      </c>
      <c r="H6" s="20"/>
      <c r="I6" s="20"/>
    </row>
    <row r="7" spans="2:12" ht="23.25" customHeight="1">
      <c r="B7" s="7"/>
      <c r="C7" s="21" t="s">
        <v>49</v>
      </c>
      <c r="D7" s="19" t="s">
        <v>4</v>
      </c>
      <c r="E7" s="22" t="s">
        <v>51</v>
      </c>
      <c r="F7" s="22" t="s">
        <v>86</v>
      </c>
      <c r="G7" s="22" t="s">
        <v>156</v>
      </c>
      <c r="H7" s="80"/>
      <c r="I7" s="81"/>
      <c r="L7" s="82"/>
    </row>
    <row r="8" spans="2:9" ht="12" customHeight="1">
      <c r="B8" s="7"/>
      <c r="C8" s="3">
        <v>1</v>
      </c>
      <c r="D8" s="1">
        <v>2</v>
      </c>
      <c r="E8" s="2">
        <v>3</v>
      </c>
      <c r="F8" s="2">
        <v>4</v>
      </c>
      <c r="G8" s="2">
        <v>5</v>
      </c>
      <c r="H8" s="83"/>
      <c r="I8" s="83"/>
    </row>
    <row r="9" spans="2:12" ht="25.5" customHeight="1">
      <c r="B9" s="23" t="s">
        <v>8</v>
      </c>
      <c r="C9" s="4" t="s">
        <v>12</v>
      </c>
      <c r="D9" s="130" t="s">
        <v>13</v>
      </c>
      <c r="E9" s="27">
        <f>E10+E108+E110+E111</f>
        <v>1694977.4</v>
      </c>
      <c r="F9" s="27">
        <f>F10+F108</f>
        <v>1467712.5</v>
      </c>
      <c r="G9" s="27">
        <f>G10+G110+G111</f>
        <v>1417713.6999999995</v>
      </c>
      <c r="H9" s="84"/>
      <c r="I9" s="84"/>
      <c r="J9" s="84"/>
      <c r="K9" s="85"/>
      <c r="L9" s="85"/>
    </row>
    <row r="10" spans="2:12" ht="30" customHeight="1">
      <c r="B10" s="23" t="s">
        <v>9</v>
      </c>
      <c r="C10" s="5" t="s">
        <v>22</v>
      </c>
      <c r="D10" s="130" t="s">
        <v>21</v>
      </c>
      <c r="E10" s="27">
        <f>E11+E14+E41+E100</f>
        <v>1574574.2999999998</v>
      </c>
      <c r="F10" s="27">
        <f>F11+F14+F41+F100</f>
        <v>1435753</v>
      </c>
      <c r="G10" s="27">
        <f>G11+G14+G41+G100</f>
        <v>1417713.6999999995</v>
      </c>
      <c r="H10" s="84"/>
      <c r="I10" s="84"/>
      <c r="J10" s="84"/>
      <c r="K10" s="85"/>
      <c r="L10" s="85"/>
    </row>
    <row r="11" spans="2:12" ht="28.5" customHeight="1">
      <c r="B11" s="23" t="s">
        <v>17</v>
      </c>
      <c r="C11" s="34" t="s">
        <v>14</v>
      </c>
      <c r="D11" s="35" t="s">
        <v>88</v>
      </c>
      <c r="E11" s="28">
        <f>E12+E13</f>
        <v>135751.2</v>
      </c>
      <c r="F11" s="28">
        <f>F12+F13</f>
        <v>94272.7</v>
      </c>
      <c r="G11" s="28">
        <f>G12+G13</f>
        <v>100797.5</v>
      </c>
      <c r="H11" s="86"/>
      <c r="I11" s="87"/>
      <c r="J11" s="86"/>
      <c r="K11" s="86"/>
      <c r="L11" s="86"/>
    </row>
    <row r="12" spans="2:9" ht="29.25" customHeight="1">
      <c r="B12" s="23"/>
      <c r="C12" s="36" t="s">
        <v>157</v>
      </c>
      <c r="D12" s="37" t="s">
        <v>89</v>
      </c>
      <c r="E12" s="67">
        <v>79431</v>
      </c>
      <c r="F12" s="67">
        <v>70259.5</v>
      </c>
      <c r="G12" s="67">
        <v>76784.3</v>
      </c>
      <c r="H12" s="73"/>
      <c r="I12" s="88"/>
    </row>
    <row r="13" spans="2:9" ht="30" customHeight="1">
      <c r="B13" s="23"/>
      <c r="C13" s="36" t="s">
        <v>29</v>
      </c>
      <c r="D13" s="37" t="s">
        <v>90</v>
      </c>
      <c r="E13" s="67">
        <f>13323.6+10689.6+32307</f>
        <v>56320.2</v>
      </c>
      <c r="F13" s="67">
        <f>13323.6+10689.6</f>
        <v>24013.2</v>
      </c>
      <c r="G13" s="67">
        <f>13323.6+10689.6</f>
        <v>24013.2</v>
      </c>
      <c r="H13" s="73"/>
      <c r="I13" s="88"/>
    </row>
    <row r="14" spans="2:12" ht="38.25" customHeight="1">
      <c r="B14" s="23" t="s">
        <v>18</v>
      </c>
      <c r="C14" s="34" t="s">
        <v>69</v>
      </c>
      <c r="D14" s="38" t="s">
        <v>91</v>
      </c>
      <c r="E14" s="29">
        <f>SUM(E15:E29)</f>
        <v>199937.10000000003</v>
      </c>
      <c r="F14" s="29">
        <f>SUM(F15:F29)</f>
        <v>205037</v>
      </c>
      <c r="G14" s="29">
        <f>SUM(G15:G29)</f>
        <v>158686.2</v>
      </c>
      <c r="H14" s="89"/>
      <c r="I14" s="89"/>
      <c r="J14" s="89"/>
      <c r="K14" s="90"/>
      <c r="L14" s="90"/>
    </row>
    <row r="15" spans="2:12" ht="42.75" customHeight="1">
      <c r="B15" s="23"/>
      <c r="C15" s="74" t="s">
        <v>146</v>
      </c>
      <c r="D15" s="60" t="s">
        <v>148</v>
      </c>
      <c r="E15" s="64">
        <v>54959.6</v>
      </c>
      <c r="F15" s="64">
        <v>0</v>
      </c>
      <c r="G15" s="64"/>
      <c r="H15" s="91"/>
      <c r="I15" s="92"/>
      <c r="J15" s="93"/>
      <c r="K15" s="93"/>
      <c r="L15" s="94" t="s">
        <v>85</v>
      </c>
    </row>
    <row r="16" spans="2:12" ht="44.25" customHeight="1">
      <c r="B16" s="23"/>
      <c r="C16" s="74" t="s">
        <v>147</v>
      </c>
      <c r="D16" s="60" t="s">
        <v>206</v>
      </c>
      <c r="E16" s="64">
        <v>555.2</v>
      </c>
      <c r="F16" s="64">
        <v>0</v>
      </c>
      <c r="G16" s="64">
        <v>1251.8</v>
      </c>
      <c r="H16" s="91"/>
      <c r="I16" s="92"/>
      <c r="J16" s="93"/>
      <c r="K16" s="93"/>
      <c r="L16" s="93"/>
    </row>
    <row r="17" spans="2:12" ht="78.75" customHeight="1">
      <c r="B17" s="23"/>
      <c r="C17" s="74" t="s">
        <v>210</v>
      </c>
      <c r="D17" s="40" t="s">
        <v>209</v>
      </c>
      <c r="E17" s="64">
        <v>5159.4</v>
      </c>
      <c r="F17" s="64"/>
      <c r="G17" s="64"/>
      <c r="H17" s="91"/>
      <c r="I17" s="92"/>
      <c r="J17" s="93"/>
      <c r="K17" s="93"/>
      <c r="L17" s="93"/>
    </row>
    <row r="18" spans="2:12" ht="78.75" customHeight="1">
      <c r="B18" s="23"/>
      <c r="C18" s="26" t="s">
        <v>212</v>
      </c>
      <c r="D18" s="40" t="s">
        <v>207</v>
      </c>
      <c r="E18" s="64">
        <v>438.2</v>
      </c>
      <c r="F18" s="64"/>
      <c r="G18" s="64"/>
      <c r="H18" s="91"/>
      <c r="I18" s="92"/>
      <c r="J18" s="93"/>
      <c r="K18" s="93"/>
      <c r="L18" s="93"/>
    </row>
    <row r="19" spans="2:12" ht="69" customHeight="1">
      <c r="B19" s="23"/>
      <c r="C19" s="26" t="s">
        <v>211</v>
      </c>
      <c r="D19" s="40" t="s">
        <v>208</v>
      </c>
      <c r="E19" s="64">
        <v>13437</v>
      </c>
      <c r="F19" s="64"/>
      <c r="G19" s="64"/>
      <c r="H19" s="91"/>
      <c r="I19" s="92"/>
      <c r="J19" s="93"/>
      <c r="K19" s="93"/>
      <c r="L19" s="93"/>
    </row>
    <row r="20" spans="2:12" ht="21" customHeight="1">
      <c r="B20" s="23"/>
      <c r="C20" s="146" t="s">
        <v>161</v>
      </c>
      <c r="D20" s="40" t="s">
        <v>162</v>
      </c>
      <c r="E20" s="64">
        <v>6.8</v>
      </c>
      <c r="F20" s="126">
        <f>307.8+1854.7</f>
        <v>2162.5</v>
      </c>
      <c r="G20" s="64"/>
      <c r="H20" s="131"/>
      <c r="I20" s="92"/>
      <c r="J20" s="93"/>
      <c r="K20" s="94"/>
      <c r="L20" s="93"/>
    </row>
    <row r="21" spans="2:12" ht="24" customHeight="1">
      <c r="B21" s="23"/>
      <c r="C21" s="147"/>
      <c r="D21" s="40" t="s">
        <v>175</v>
      </c>
      <c r="E21" s="64">
        <v>1350.3</v>
      </c>
      <c r="F21" s="64">
        <v>60933.7</v>
      </c>
      <c r="G21" s="64"/>
      <c r="H21" s="91"/>
      <c r="I21" s="92"/>
      <c r="J21" s="93"/>
      <c r="K21" s="94"/>
      <c r="L21" s="93"/>
    </row>
    <row r="22" spans="2:12" ht="24" customHeight="1">
      <c r="B22" s="23"/>
      <c r="C22" s="148" t="s">
        <v>160</v>
      </c>
      <c r="D22" s="40" t="s">
        <v>174</v>
      </c>
      <c r="E22" s="64"/>
      <c r="F22" s="64">
        <f>2.4</f>
        <v>2.4</v>
      </c>
      <c r="G22" s="64">
        <v>0</v>
      </c>
      <c r="H22" s="91"/>
      <c r="I22" s="92"/>
      <c r="J22" s="93"/>
      <c r="K22" s="94"/>
      <c r="L22" s="93"/>
    </row>
    <row r="23" spans="2:12" ht="25.5" customHeight="1">
      <c r="B23" s="23"/>
      <c r="C23" s="149"/>
      <c r="D23" s="40" t="s">
        <v>176</v>
      </c>
      <c r="E23" s="64"/>
      <c r="F23" s="64">
        <v>27.2</v>
      </c>
      <c r="G23" s="64"/>
      <c r="H23" s="91"/>
      <c r="I23" s="92"/>
      <c r="J23" s="93"/>
      <c r="K23" s="94"/>
      <c r="L23" s="93"/>
    </row>
    <row r="24" spans="2:12" ht="66" customHeight="1">
      <c r="B24" s="23"/>
      <c r="C24" s="124" t="s">
        <v>199</v>
      </c>
      <c r="D24" s="40" t="s">
        <v>198</v>
      </c>
      <c r="E24" s="128">
        <f>3951.3-3951.3</f>
        <v>0</v>
      </c>
      <c r="F24" s="64"/>
      <c r="G24" s="64"/>
      <c r="H24" s="91"/>
      <c r="I24" s="92"/>
      <c r="J24" s="93"/>
      <c r="K24" s="94"/>
      <c r="L24" s="93"/>
    </row>
    <row r="25" spans="2:12" ht="25.5" customHeight="1">
      <c r="B25" s="23"/>
      <c r="C25" s="142" t="s">
        <v>81</v>
      </c>
      <c r="D25" s="40" t="s">
        <v>163</v>
      </c>
      <c r="E25" s="64">
        <v>702.6</v>
      </c>
      <c r="F25" s="64">
        <f>1752.4-679.7</f>
        <v>1072.7</v>
      </c>
      <c r="G25" s="64">
        <f>1899.6-839.1</f>
        <v>1060.5</v>
      </c>
      <c r="H25" s="73"/>
      <c r="I25" s="95"/>
      <c r="L25" s="73"/>
    </row>
    <row r="26" spans="2:12" ht="24.75" customHeight="1">
      <c r="B26" s="23"/>
      <c r="C26" s="143"/>
      <c r="D26" s="40" t="s">
        <v>164</v>
      </c>
      <c r="E26" s="64">
        <v>990.2</v>
      </c>
      <c r="F26" s="64">
        <f>2399-930.6</f>
        <v>1468.4</v>
      </c>
      <c r="G26" s="64">
        <f>2591.9-1145</f>
        <v>1446.9</v>
      </c>
      <c r="H26" s="73"/>
      <c r="I26" s="95"/>
      <c r="L26" s="73"/>
    </row>
    <row r="27" spans="2:12" ht="24.75" customHeight="1">
      <c r="B27" s="23"/>
      <c r="C27" s="144" t="s">
        <v>145</v>
      </c>
      <c r="D27" s="60" t="s">
        <v>165</v>
      </c>
      <c r="E27" s="64">
        <f>151.5-0.2</f>
        <v>151.3</v>
      </c>
      <c r="F27" s="64">
        <f>151.5-20.2</f>
        <v>131.3</v>
      </c>
      <c r="G27" s="64">
        <f>151.5</f>
        <v>151.5</v>
      </c>
      <c r="H27" s="73"/>
      <c r="I27" s="95"/>
      <c r="L27" s="73"/>
    </row>
    <row r="28" spans="2:12" ht="27" customHeight="1">
      <c r="B28" s="23"/>
      <c r="C28" s="145"/>
      <c r="D28" s="60" t="s">
        <v>166</v>
      </c>
      <c r="E28" s="64">
        <f>15000-20.7</f>
        <v>14979.3</v>
      </c>
      <c r="F28" s="64">
        <f>15000-2000</f>
        <v>13000</v>
      </c>
      <c r="G28" s="64">
        <v>15000</v>
      </c>
      <c r="H28" s="73"/>
      <c r="I28" s="95"/>
      <c r="L28" s="73"/>
    </row>
    <row r="29" spans="2:12" ht="24.75" customHeight="1">
      <c r="B29" s="23"/>
      <c r="C29" s="5" t="s">
        <v>15</v>
      </c>
      <c r="D29" s="41" t="s">
        <v>92</v>
      </c>
      <c r="E29" s="30">
        <f>E30</f>
        <v>107207.20000000001</v>
      </c>
      <c r="F29" s="30">
        <f>F30</f>
        <v>126238.79999999999</v>
      </c>
      <c r="G29" s="30">
        <f>G30</f>
        <v>139775.5</v>
      </c>
      <c r="H29" s="96"/>
      <c r="I29" s="97"/>
      <c r="J29" s="97"/>
      <c r="K29" s="97"/>
      <c r="L29" s="97"/>
    </row>
    <row r="30" spans="2:12" ht="22.5" customHeight="1">
      <c r="B30" s="23"/>
      <c r="C30" s="42" t="s">
        <v>16</v>
      </c>
      <c r="D30" s="43" t="s">
        <v>93</v>
      </c>
      <c r="E30" s="31">
        <f>SUM(E31:E40)</f>
        <v>107207.20000000001</v>
      </c>
      <c r="F30" s="31">
        <f>SUM(F31:F40)</f>
        <v>126238.79999999999</v>
      </c>
      <c r="G30" s="31">
        <f>SUM(G31:G40)</f>
        <v>139775.5</v>
      </c>
      <c r="H30" s="98"/>
      <c r="I30" s="98"/>
      <c r="J30" s="98"/>
      <c r="K30" s="98"/>
      <c r="L30" s="98"/>
    </row>
    <row r="31" spans="2:10" ht="29.25" customHeight="1">
      <c r="B31" s="23"/>
      <c r="C31" s="71" t="s">
        <v>82</v>
      </c>
      <c r="D31" s="60" t="s">
        <v>167</v>
      </c>
      <c r="E31" s="64">
        <f>300+1000-302-178</f>
        <v>820</v>
      </c>
      <c r="F31" s="123">
        <v>0</v>
      </c>
      <c r="G31" s="64">
        <v>4310</v>
      </c>
      <c r="H31" s="99"/>
      <c r="I31" s="95"/>
      <c r="J31" s="99"/>
    </row>
    <row r="32" spans="2:9" ht="69.75" customHeight="1">
      <c r="B32" s="23"/>
      <c r="C32" s="72" t="s">
        <v>83</v>
      </c>
      <c r="D32" s="60" t="s">
        <v>94</v>
      </c>
      <c r="E32" s="64">
        <f>16524-492.9</f>
        <v>16031.1</v>
      </c>
      <c r="F32" s="64">
        <v>17780.2</v>
      </c>
      <c r="G32" s="64">
        <v>18811.5</v>
      </c>
      <c r="H32" s="73"/>
      <c r="I32" s="95"/>
    </row>
    <row r="33" spans="2:9" ht="28.5" customHeight="1">
      <c r="B33" s="23"/>
      <c r="C33" s="39" t="s">
        <v>79</v>
      </c>
      <c r="D33" s="60" t="s">
        <v>168</v>
      </c>
      <c r="E33" s="64">
        <f>4400-28.2</f>
        <v>4371.8</v>
      </c>
      <c r="F33" s="64">
        <f>3850-3850</f>
        <v>0</v>
      </c>
      <c r="G33" s="64">
        <v>5550</v>
      </c>
      <c r="H33" s="73"/>
      <c r="I33" s="95"/>
    </row>
    <row r="34" spans="2:9" ht="52.5" customHeight="1">
      <c r="B34" s="23"/>
      <c r="C34" s="39" t="s">
        <v>74</v>
      </c>
      <c r="D34" s="60" t="s">
        <v>95</v>
      </c>
      <c r="E34" s="64">
        <f>18352.2-452.3</f>
        <v>17899.9</v>
      </c>
      <c r="F34" s="64">
        <v>19747.5</v>
      </c>
      <c r="G34" s="64">
        <v>20892.9</v>
      </c>
      <c r="H34" s="73"/>
      <c r="I34" s="100"/>
    </row>
    <row r="35" spans="2:9" ht="40.5" customHeight="1">
      <c r="B35" s="23"/>
      <c r="C35" s="39" t="s">
        <v>214</v>
      </c>
      <c r="D35" s="60" t="s">
        <v>213</v>
      </c>
      <c r="E35" s="64">
        <v>109.2</v>
      </c>
      <c r="F35" s="64">
        <v>109.2</v>
      </c>
      <c r="G35" s="64">
        <v>109.2</v>
      </c>
      <c r="H35" s="73"/>
      <c r="I35" s="100"/>
    </row>
    <row r="36" spans="2:9" ht="42" customHeight="1">
      <c r="B36" s="23"/>
      <c r="C36" s="74" t="s">
        <v>52</v>
      </c>
      <c r="D36" s="60" t="s">
        <v>96</v>
      </c>
      <c r="E36" s="64">
        <f>25101.9-223.3-188.5-4422</f>
        <v>20268.100000000002</v>
      </c>
      <c r="F36" s="64">
        <v>25101.9</v>
      </c>
      <c r="G36" s="64">
        <v>25101.9</v>
      </c>
      <c r="H36" s="73"/>
      <c r="I36" s="100"/>
    </row>
    <row r="37" spans="2:10" ht="28.5" customHeight="1">
      <c r="B37" s="23"/>
      <c r="C37" s="36" t="s">
        <v>179</v>
      </c>
      <c r="D37" s="60" t="s">
        <v>177</v>
      </c>
      <c r="E37" s="64">
        <f>3300-704.5</f>
        <v>2595.5</v>
      </c>
      <c r="F37" s="64">
        <v>0</v>
      </c>
      <c r="G37" s="64">
        <v>0</v>
      </c>
      <c r="H37" s="101"/>
      <c r="I37" s="100"/>
      <c r="J37" s="100"/>
    </row>
    <row r="38" spans="2:10" ht="57" customHeight="1">
      <c r="B38" s="23"/>
      <c r="C38" s="36" t="s">
        <v>180</v>
      </c>
      <c r="D38" s="60" t="s">
        <v>178</v>
      </c>
      <c r="E38" s="64">
        <f>6239-1126.3+140-141.1</f>
        <v>5111.599999999999</v>
      </c>
      <c r="F38" s="64">
        <v>23500</v>
      </c>
      <c r="G38" s="64">
        <v>23500</v>
      </c>
      <c r="H38" s="101"/>
      <c r="I38" s="100"/>
      <c r="J38" s="101"/>
    </row>
    <row r="39" spans="2:10" ht="38.25" customHeight="1">
      <c r="B39" s="23"/>
      <c r="C39" s="44" t="s">
        <v>158</v>
      </c>
      <c r="D39" s="40" t="s">
        <v>159</v>
      </c>
      <c r="E39" s="64">
        <v>0</v>
      </c>
      <c r="F39" s="125">
        <v>0</v>
      </c>
      <c r="G39" s="64">
        <v>1500</v>
      </c>
      <c r="H39" s="101"/>
      <c r="I39" s="100"/>
      <c r="J39" s="101"/>
    </row>
    <row r="40" spans="2:9" ht="66" customHeight="1">
      <c r="B40" s="24"/>
      <c r="C40" s="57" t="s">
        <v>38</v>
      </c>
      <c r="D40" s="40" t="s">
        <v>144</v>
      </c>
      <c r="E40" s="64">
        <v>40000</v>
      </c>
      <c r="F40" s="66">
        <v>40000</v>
      </c>
      <c r="G40" s="66">
        <v>40000</v>
      </c>
      <c r="H40" s="73"/>
      <c r="I40" s="102"/>
    </row>
    <row r="41" spans="2:12" ht="29.25" customHeight="1">
      <c r="B41" s="23" t="s">
        <v>19</v>
      </c>
      <c r="C41" s="51" t="s">
        <v>23</v>
      </c>
      <c r="D41" s="35" t="s">
        <v>97</v>
      </c>
      <c r="E41" s="29">
        <f>E42+E43+E85+E89+E93+E94+E95+E96+E99</f>
        <v>1227061.5999999999</v>
      </c>
      <c r="F41" s="29">
        <f>F42+F43+F85+F89+F93+F94+F95+F96+F99</f>
        <v>1107070.1</v>
      </c>
      <c r="G41" s="29">
        <f>G42+G43+G85+G89+G93+G94+G95+G96+G99</f>
        <v>1128856.7999999996</v>
      </c>
      <c r="H41" s="89"/>
      <c r="I41" s="89"/>
      <c r="J41" s="89"/>
      <c r="K41" s="89"/>
      <c r="L41" s="89"/>
    </row>
    <row r="42" spans="2:9" ht="42" customHeight="1">
      <c r="B42" s="23"/>
      <c r="C42" s="44" t="s">
        <v>78</v>
      </c>
      <c r="D42" s="45" t="s">
        <v>98</v>
      </c>
      <c r="E42" s="65">
        <f>31883.3-704.5+704.5</f>
        <v>31883.3</v>
      </c>
      <c r="F42" s="66">
        <v>33170</v>
      </c>
      <c r="G42" s="66">
        <v>34483.5</v>
      </c>
      <c r="H42" s="73"/>
      <c r="I42" s="103"/>
    </row>
    <row r="43" spans="2:12" ht="36.75" customHeight="1">
      <c r="B43" s="23"/>
      <c r="C43" s="52" t="s">
        <v>24</v>
      </c>
      <c r="D43" s="56" t="s">
        <v>194</v>
      </c>
      <c r="E43" s="30">
        <f>SUM(E44:E84)</f>
        <v>997687</v>
      </c>
      <c r="F43" s="30">
        <f>SUM(F44:F84)</f>
        <v>909323.3</v>
      </c>
      <c r="G43" s="30">
        <f>SUM(G44:G84)</f>
        <v>931317.0999999997</v>
      </c>
      <c r="H43" s="96"/>
      <c r="I43" s="96"/>
      <c r="J43" s="96"/>
      <c r="K43" s="97"/>
      <c r="L43" s="97"/>
    </row>
    <row r="44" spans="2:9" ht="69" customHeight="1">
      <c r="B44" s="23"/>
      <c r="C44" s="59" t="s">
        <v>53</v>
      </c>
      <c r="D44" s="40" t="s">
        <v>99</v>
      </c>
      <c r="E44" s="64">
        <v>3.7</v>
      </c>
      <c r="F44" s="64">
        <v>3.7</v>
      </c>
      <c r="G44" s="64">
        <v>4.6</v>
      </c>
      <c r="H44" s="73"/>
      <c r="I44" s="104"/>
    </row>
    <row r="45" spans="2:9" ht="51" customHeight="1">
      <c r="B45" s="23"/>
      <c r="C45" s="58" t="s">
        <v>54</v>
      </c>
      <c r="D45" s="40" t="s">
        <v>100</v>
      </c>
      <c r="E45" s="65">
        <f>12989.8-3224.7</f>
        <v>9765.099999999999</v>
      </c>
      <c r="F45" s="65">
        <v>12528.4</v>
      </c>
      <c r="G45" s="65">
        <v>12381.2</v>
      </c>
      <c r="H45" s="73"/>
      <c r="I45" s="105"/>
    </row>
    <row r="46" spans="2:9" ht="51.75" customHeight="1">
      <c r="B46" s="23"/>
      <c r="C46" s="26" t="s">
        <v>55</v>
      </c>
      <c r="D46" s="40" t="s">
        <v>101</v>
      </c>
      <c r="E46" s="65">
        <f>32511.9+8000+2000</f>
        <v>42511.9</v>
      </c>
      <c r="F46" s="66">
        <v>32758.2</v>
      </c>
      <c r="G46" s="66">
        <v>32591.4</v>
      </c>
      <c r="H46" s="73"/>
      <c r="I46" s="103"/>
    </row>
    <row r="47" spans="2:9" ht="66">
      <c r="B47" s="23"/>
      <c r="C47" s="62" t="s">
        <v>27</v>
      </c>
      <c r="D47" s="40" t="s">
        <v>102</v>
      </c>
      <c r="E47" s="66">
        <v>156.2</v>
      </c>
      <c r="F47" s="66">
        <f>156.2-31.2</f>
        <v>124.99999999999999</v>
      </c>
      <c r="G47" s="66">
        <f>156.2-31.2</f>
        <v>124.99999999999999</v>
      </c>
      <c r="H47" s="73"/>
      <c r="I47" s="103"/>
    </row>
    <row r="48" spans="2:9" ht="39.75" customHeight="1">
      <c r="B48" s="23"/>
      <c r="C48" s="36" t="s">
        <v>26</v>
      </c>
      <c r="D48" s="40" t="s">
        <v>103</v>
      </c>
      <c r="E48" s="65">
        <f>513.5+42.5</f>
        <v>556</v>
      </c>
      <c r="F48" s="66">
        <f>528.8+43.9</f>
        <v>572.6999999999999</v>
      </c>
      <c r="G48" s="66">
        <f>548.2+45.6</f>
        <v>593.8000000000001</v>
      </c>
      <c r="H48" s="73"/>
      <c r="I48" s="103"/>
    </row>
    <row r="49" spans="2:9" ht="42.75" customHeight="1">
      <c r="B49" s="23"/>
      <c r="C49" s="36" t="s">
        <v>45</v>
      </c>
      <c r="D49" s="40" t="s">
        <v>104</v>
      </c>
      <c r="E49" s="66">
        <f>128.2+0.8</f>
        <v>129</v>
      </c>
      <c r="F49" s="66">
        <v>128.2</v>
      </c>
      <c r="G49" s="66">
        <v>128.2</v>
      </c>
      <c r="H49" s="73"/>
      <c r="I49" s="103"/>
    </row>
    <row r="50" spans="2:9" ht="27.75" customHeight="1">
      <c r="B50" s="23"/>
      <c r="C50" s="50" t="s">
        <v>56</v>
      </c>
      <c r="D50" s="40" t="s">
        <v>105</v>
      </c>
      <c r="E50" s="65">
        <f>15991.5+107.9-10491.8-5451+294.2-450.8</f>
        <v>0</v>
      </c>
      <c r="F50" s="65">
        <v>16634.9</v>
      </c>
      <c r="G50" s="65">
        <v>17285.7</v>
      </c>
      <c r="H50" s="73"/>
      <c r="I50" s="105"/>
    </row>
    <row r="51" spans="2:10" ht="45" customHeight="1">
      <c r="B51" s="23"/>
      <c r="C51" s="50" t="s">
        <v>68</v>
      </c>
      <c r="D51" s="40" t="s">
        <v>106</v>
      </c>
      <c r="E51" s="65">
        <f>220.9+1.5-213.5</f>
        <v>8.900000000000006</v>
      </c>
      <c r="F51" s="65">
        <v>229.8</v>
      </c>
      <c r="G51" s="65">
        <v>238.8</v>
      </c>
      <c r="H51" s="105"/>
      <c r="I51" s="105"/>
      <c r="J51" s="105"/>
    </row>
    <row r="52" spans="2:10" ht="37.5" customHeight="1">
      <c r="B52" s="23"/>
      <c r="C52" s="50" t="s">
        <v>201</v>
      </c>
      <c r="D52" s="40" t="s">
        <v>200</v>
      </c>
      <c r="E52" s="65">
        <f>4904.3-8.3</f>
        <v>4896</v>
      </c>
      <c r="F52" s="65"/>
      <c r="G52" s="65"/>
      <c r="H52" s="105"/>
      <c r="I52" s="105"/>
      <c r="J52" s="105"/>
    </row>
    <row r="53" spans="2:10" ht="37.5" customHeight="1">
      <c r="B53" s="23"/>
      <c r="C53" s="50" t="s">
        <v>203</v>
      </c>
      <c r="D53" s="40" t="s">
        <v>202</v>
      </c>
      <c r="E53" s="65">
        <v>226.6</v>
      </c>
      <c r="F53" s="65"/>
      <c r="G53" s="65"/>
      <c r="H53" s="105"/>
      <c r="I53" s="105"/>
      <c r="J53" s="105"/>
    </row>
    <row r="54" spans="2:9" ht="41.25" customHeight="1">
      <c r="B54" s="23"/>
      <c r="C54" s="53" t="s">
        <v>57</v>
      </c>
      <c r="D54" s="40" t="s">
        <v>107</v>
      </c>
      <c r="E54" s="65">
        <f>314274.5+277-355.1</f>
        <v>314196.4</v>
      </c>
      <c r="F54" s="66">
        <v>335371.2</v>
      </c>
      <c r="G54" s="66">
        <v>350501.2</v>
      </c>
      <c r="H54" s="73"/>
      <c r="I54" s="103"/>
    </row>
    <row r="55" spans="2:9" ht="55.5" customHeight="1">
      <c r="B55" s="23"/>
      <c r="C55" s="53" t="s">
        <v>30</v>
      </c>
      <c r="D55" s="40" t="s">
        <v>108</v>
      </c>
      <c r="E55" s="65">
        <v>50.3</v>
      </c>
      <c r="F55" s="66">
        <v>53.7</v>
      </c>
      <c r="G55" s="66">
        <v>56.1</v>
      </c>
      <c r="H55" s="73"/>
      <c r="I55" s="103"/>
    </row>
    <row r="56" spans="2:9" ht="54" customHeight="1">
      <c r="B56" s="23"/>
      <c r="C56" s="63" t="s">
        <v>73</v>
      </c>
      <c r="D56" s="40" t="s">
        <v>109</v>
      </c>
      <c r="E56" s="65">
        <f>6790.4+109.6</f>
        <v>6900</v>
      </c>
      <c r="F56" s="66">
        <v>6790.4</v>
      </c>
      <c r="G56" s="66">
        <v>6790.4</v>
      </c>
      <c r="H56" s="73"/>
      <c r="I56" s="103"/>
    </row>
    <row r="57" spans="2:9" ht="64.5" customHeight="1">
      <c r="B57" s="23"/>
      <c r="C57" s="50" t="s">
        <v>59</v>
      </c>
      <c r="D57" s="40" t="s">
        <v>110</v>
      </c>
      <c r="E57" s="65">
        <f>22846.2+1628+1450</f>
        <v>25924.2</v>
      </c>
      <c r="F57" s="65">
        <v>23241.1</v>
      </c>
      <c r="G57" s="65">
        <v>23822.6</v>
      </c>
      <c r="H57" s="73"/>
      <c r="I57" s="105"/>
    </row>
    <row r="58" spans="2:9" ht="49.5" customHeight="1">
      <c r="B58" s="23"/>
      <c r="C58" s="50" t="s">
        <v>60</v>
      </c>
      <c r="D58" s="40" t="s">
        <v>111</v>
      </c>
      <c r="E58" s="65">
        <v>701.7</v>
      </c>
      <c r="F58" s="65">
        <v>667.2</v>
      </c>
      <c r="G58" s="65">
        <v>686.1</v>
      </c>
      <c r="H58" s="73"/>
      <c r="I58" s="105"/>
    </row>
    <row r="59" spans="2:9" ht="53.25" customHeight="1">
      <c r="B59" s="23"/>
      <c r="C59" s="50" t="s">
        <v>185</v>
      </c>
      <c r="D59" s="40" t="s">
        <v>184</v>
      </c>
      <c r="E59" s="65">
        <f>6413.2+974.6+2000+1360</f>
        <v>10747.8</v>
      </c>
      <c r="F59" s="65"/>
      <c r="G59" s="65"/>
      <c r="H59" s="73"/>
      <c r="I59" s="105"/>
    </row>
    <row r="60" spans="2:9" ht="63.75" customHeight="1">
      <c r="B60" s="23"/>
      <c r="C60" s="50" t="s">
        <v>72</v>
      </c>
      <c r="D60" s="40" t="s">
        <v>112</v>
      </c>
      <c r="E60" s="65">
        <f>1775.1+443.9</f>
        <v>2219</v>
      </c>
      <c r="F60" s="66">
        <v>1775.1</v>
      </c>
      <c r="G60" s="66">
        <v>1775.1</v>
      </c>
      <c r="H60" s="73"/>
      <c r="I60" s="103"/>
    </row>
    <row r="61" spans="2:9" ht="65.25" customHeight="1">
      <c r="B61" s="23"/>
      <c r="C61" s="57" t="s">
        <v>70</v>
      </c>
      <c r="D61" s="40" t="s">
        <v>113</v>
      </c>
      <c r="E61" s="66">
        <f>90.8+16.5</f>
        <v>107.3</v>
      </c>
      <c r="F61" s="66">
        <v>90.8</v>
      </c>
      <c r="G61" s="66">
        <v>90.8</v>
      </c>
      <c r="H61" s="73"/>
      <c r="I61" s="103"/>
    </row>
    <row r="62" spans="2:9" ht="39" customHeight="1">
      <c r="B62" s="23"/>
      <c r="C62" s="36" t="s">
        <v>0</v>
      </c>
      <c r="D62" s="40" t="s">
        <v>114</v>
      </c>
      <c r="E62" s="65">
        <f>519.7+42.8</f>
        <v>562.5</v>
      </c>
      <c r="F62" s="66">
        <f>535.2+44.2</f>
        <v>579.4000000000001</v>
      </c>
      <c r="G62" s="66">
        <f>554.8+45.9</f>
        <v>600.6999999999999</v>
      </c>
      <c r="H62" s="73"/>
      <c r="I62" s="103"/>
    </row>
    <row r="63" spans="2:9" ht="40.5" customHeight="1">
      <c r="B63" s="23"/>
      <c r="C63" s="36" t="s">
        <v>1</v>
      </c>
      <c r="D63" s="40" t="s">
        <v>115</v>
      </c>
      <c r="E63" s="65">
        <f>1152+129.2</f>
        <v>1281.2</v>
      </c>
      <c r="F63" s="66">
        <f>1186.6+133.3</f>
        <v>1319.8999999999999</v>
      </c>
      <c r="G63" s="66">
        <f>1230.4+138.5</f>
        <v>1368.9</v>
      </c>
      <c r="H63" s="73"/>
      <c r="I63" s="103"/>
    </row>
    <row r="64" spans="2:9" ht="37.5" customHeight="1">
      <c r="B64" s="23"/>
      <c r="C64" s="36" t="s">
        <v>190</v>
      </c>
      <c r="D64" s="40" t="s">
        <v>189</v>
      </c>
      <c r="E64" s="65">
        <f>2769-100</f>
        <v>2669</v>
      </c>
      <c r="F64" s="66"/>
      <c r="G64" s="66"/>
      <c r="H64" s="73"/>
      <c r="I64" s="103"/>
    </row>
    <row r="65" spans="2:9" ht="64.5" customHeight="1">
      <c r="B65" s="23"/>
      <c r="C65" s="57" t="s">
        <v>75</v>
      </c>
      <c r="D65" s="40" t="s">
        <v>116</v>
      </c>
      <c r="E65" s="65">
        <f>74745.8</f>
        <v>74745.8</v>
      </c>
      <c r="F65" s="66">
        <v>73729.8</v>
      </c>
      <c r="G65" s="66">
        <v>63160</v>
      </c>
      <c r="H65" s="73"/>
      <c r="I65" s="103"/>
    </row>
    <row r="66" spans="2:9" ht="86.25" customHeight="1">
      <c r="B66" s="23"/>
      <c r="C66" s="57" t="s">
        <v>61</v>
      </c>
      <c r="D66" s="40" t="s">
        <v>117</v>
      </c>
      <c r="E66" s="65">
        <f>438.3-4.3</f>
        <v>434</v>
      </c>
      <c r="F66" s="66">
        <v>438.3</v>
      </c>
      <c r="G66" s="66">
        <v>438.3</v>
      </c>
      <c r="H66" s="73"/>
      <c r="I66" s="103"/>
    </row>
    <row r="67" spans="2:9" ht="75" customHeight="1">
      <c r="B67" s="23"/>
      <c r="C67" s="57" t="s">
        <v>31</v>
      </c>
      <c r="D67" s="40" t="s">
        <v>118</v>
      </c>
      <c r="E67" s="65">
        <f>91.9-32.3</f>
        <v>59.60000000000001</v>
      </c>
      <c r="F67" s="66">
        <v>91.9</v>
      </c>
      <c r="G67" s="66">
        <v>91.9</v>
      </c>
      <c r="H67" s="73"/>
      <c r="I67" s="103"/>
    </row>
    <row r="68" spans="2:9" ht="157.5" customHeight="1">
      <c r="B68" s="23"/>
      <c r="C68" s="57" t="s">
        <v>76</v>
      </c>
      <c r="D68" s="40" t="s">
        <v>119</v>
      </c>
      <c r="E68" s="65">
        <f>50741.9+97.3</f>
        <v>50839.200000000004</v>
      </c>
      <c r="F68" s="66">
        <v>54092.1</v>
      </c>
      <c r="G68" s="66">
        <v>57025.9</v>
      </c>
      <c r="H68" s="73"/>
      <c r="I68" s="103"/>
    </row>
    <row r="69" spans="2:9" ht="54" customHeight="1">
      <c r="B69" s="23"/>
      <c r="C69" s="57" t="s">
        <v>77</v>
      </c>
      <c r="D69" s="40" t="s">
        <v>120</v>
      </c>
      <c r="E69" s="65">
        <v>758.3</v>
      </c>
      <c r="F69" s="65">
        <v>787.8</v>
      </c>
      <c r="G69" s="65">
        <v>819.4</v>
      </c>
      <c r="H69" s="73"/>
      <c r="I69" s="105"/>
    </row>
    <row r="70" spans="2:9" ht="42" customHeight="1">
      <c r="B70" s="23"/>
      <c r="C70" s="36" t="s">
        <v>62</v>
      </c>
      <c r="D70" s="40" t="s">
        <v>121</v>
      </c>
      <c r="E70" s="65">
        <f>1026.9+85.2</f>
        <v>1112.1000000000001</v>
      </c>
      <c r="F70" s="65">
        <f>1057.4+88</f>
        <v>1145.4</v>
      </c>
      <c r="G70" s="65">
        <f>1096.3+91.4</f>
        <v>1187.7</v>
      </c>
      <c r="H70" s="73"/>
      <c r="I70" s="105"/>
    </row>
    <row r="71" spans="2:9" ht="67.5" customHeight="1">
      <c r="B71" s="23"/>
      <c r="C71" s="36" t="s">
        <v>63</v>
      </c>
      <c r="D71" s="40" t="s">
        <v>122</v>
      </c>
      <c r="E71" s="65">
        <v>73.9</v>
      </c>
      <c r="F71" s="65">
        <v>73.9</v>
      </c>
      <c r="G71" s="65">
        <v>73.9</v>
      </c>
      <c r="H71" s="73"/>
      <c r="I71" s="105"/>
    </row>
    <row r="72" spans="2:9" ht="52.5" customHeight="1">
      <c r="B72" s="23"/>
      <c r="C72" s="36" t="s">
        <v>84</v>
      </c>
      <c r="D72" s="40" t="s">
        <v>123</v>
      </c>
      <c r="E72" s="65">
        <f>802.7-59.1+76.2-56.9</f>
        <v>762.9000000000001</v>
      </c>
      <c r="F72" s="65">
        <f>813.7-58.2</f>
        <v>755.5</v>
      </c>
      <c r="G72" s="65">
        <f>893.2-56.5</f>
        <v>836.7</v>
      </c>
      <c r="H72" s="73"/>
      <c r="I72" s="105"/>
    </row>
    <row r="73" spans="2:9" ht="38.25" customHeight="1">
      <c r="B73" s="23"/>
      <c r="C73" s="36" t="s">
        <v>10</v>
      </c>
      <c r="D73" s="40" t="s">
        <v>186</v>
      </c>
      <c r="E73" s="65">
        <f>9134.1+170.6+70.5+203.2-15.2</f>
        <v>9563.2</v>
      </c>
      <c r="F73" s="65">
        <f>9415.2+176.2+14.4+358.2</f>
        <v>9964.000000000002</v>
      </c>
      <c r="G73" s="65">
        <f>9771.8+183.3+14.4+371.6</f>
        <v>10341.099999999999</v>
      </c>
      <c r="H73" s="73"/>
      <c r="I73" s="105"/>
    </row>
    <row r="74" spans="2:9" ht="59.25" customHeight="1">
      <c r="B74" s="23"/>
      <c r="C74" s="57" t="s">
        <v>215</v>
      </c>
      <c r="D74" s="139" t="s">
        <v>187</v>
      </c>
      <c r="E74" s="65">
        <f>683.6+273.4</f>
        <v>957</v>
      </c>
      <c r="F74" s="65">
        <v>683.6</v>
      </c>
      <c r="G74" s="65">
        <v>683.6</v>
      </c>
      <c r="H74" s="73"/>
      <c r="I74" s="105"/>
    </row>
    <row r="75" spans="2:9" ht="69" customHeight="1">
      <c r="B75" s="23"/>
      <c r="C75" s="57" t="s">
        <v>46</v>
      </c>
      <c r="D75" s="140"/>
      <c r="E75" s="65">
        <f>62.5-62.5</f>
        <v>0</v>
      </c>
      <c r="F75" s="65">
        <v>62.5</v>
      </c>
      <c r="G75" s="65">
        <v>62.5</v>
      </c>
      <c r="H75" s="73"/>
      <c r="I75" s="105"/>
    </row>
    <row r="76" spans="2:9" ht="63.75" customHeight="1">
      <c r="B76" s="23"/>
      <c r="C76" s="57" t="s">
        <v>46</v>
      </c>
      <c r="D76" s="140"/>
      <c r="E76" s="65">
        <f>683.6+273.4</f>
        <v>957</v>
      </c>
      <c r="F76" s="65">
        <v>683.6</v>
      </c>
      <c r="G76" s="65">
        <v>683.6</v>
      </c>
      <c r="H76" s="73"/>
      <c r="I76" s="105"/>
    </row>
    <row r="77" spans="2:9" ht="62.25" customHeight="1">
      <c r="B77" s="23"/>
      <c r="C77" s="57" t="s">
        <v>216</v>
      </c>
      <c r="D77" s="141"/>
      <c r="E77" s="65">
        <v>156.2</v>
      </c>
      <c r="F77" s="65">
        <f>125+31.2</f>
        <v>156.2</v>
      </c>
      <c r="G77" s="65">
        <f>125+31.2</f>
        <v>156.2</v>
      </c>
      <c r="H77" s="73"/>
      <c r="I77" s="105"/>
    </row>
    <row r="78" spans="2:9" ht="41.25" customHeight="1">
      <c r="B78" s="23"/>
      <c r="C78" s="57" t="s">
        <v>2</v>
      </c>
      <c r="D78" s="40" t="s">
        <v>188</v>
      </c>
      <c r="E78" s="65">
        <v>6562</v>
      </c>
      <c r="F78" s="65">
        <v>6562</v>
      </c>
      <c r="G78" s="65">
        <v>6562</v>
      </c>
      <c r="H78" s="73"/>
      <c r="I78" s="105"/>
    </row>
    <row r="79" spans="2:9" ht="44.25" customHeight="1">
      <c r="B79" s="23"/>
      <c r="C79" s="57" t="s">
        <v>33</v>
      </c>
      <c r="D79" s="40" t="s">
        <v>124</v>
      </c>
      <c r="E79" s="65">
        <f>1000.2+1500.3</f>
        <v>2500.5</v>
      </c>
      <c r="F79" s="65">
        <v>1000.2</v>
      </c>
      <c r="G79" s="65">
        <v>1000.2</v>
      </c>
      <c r="H79" s="73"/>
      <c r="I79" s="105"/>
    </row>
    <row r="80" spans="2:9" ht="39" customHeight="1">
      <c r="B80" s="23"/>
      <c r="C80" s="57" t="s">
        <v>64</v>
      </c>
      <c r="D80" s="40" t="s">
        <v>125</v>
      </c>
      <c r="E80" s="65">
        <v>1082.4</v>
      </c>
      <c r="F80" s="65">
        <v>1082.4</v>
      </c>
      <c r="G80" s="65">
        <v>1082.4</v>
      </c>
      <c r="H80" s="73"/>
      <c r="I80" s="105"/>
    </row>
    <row r="81" spans="2:9" ht="51.75" customHeight="1">
      <c r="B81" s="23"/>
      <c r="C81" s="53" t="s">
        <v>65</v>
      </c>
      <c r="D81" s="40" t="s">
        <v>126</v>
      </c>
      <c r="E81" s="65">
        <f>311270.4+239.5</f>
        <v>311509.9</v>
      </c>
      <c r="F81" s="65">
        <v>325092.4</v>
      </c>
      <c r="G81" s="65">
        <v>338017</v>
      </c>
      <c r="H81" s="73"/>
      <c r="I81" s="105"/>
    </row>
    <row r="82" spans="2:9" ht="51.75" customHeight="1">
      <c r="B82" s="23"/>
      <c r="C82" s="53" t="s">
        <v>3</v>
      </c>
      <c r="D82" s="40" t="s">
        <v>127</v>
      </c>
      <c r="E82" s="65">
        <v>49.8</v>
      </c>
      <c r="F82" s="65">
        <v>52</v>
      </c>
      <c r="G82" s="65">
        <v>54.1</v>
      </c>
      <c r="H82" s="73"/>
      <c r="I82" s="105"/>
    </row>
    <row r="83" spans="2:9" ht="41.25" customHeight="1">
      <c r="B83" s="23"/>
      <c r="C83" s="53" t="s">
        <v>182</v>
      </c>
      <c r="D83" s="40" t="s">
        <v>183</v>
      </c>
      <c r="E83" s="65">
        <f>73752.4+11208.3+23000-11960+13800</f>
        <v>109800.7</v>
      </c>
      <c r="F83" s="65"/>
      <c r="G83" s="65"/>
      <c r="H83" s="73"/>
      <c r="I83" s="105"/>
    </row>
    <row r="84" spans="2:9" ht="99" customHeight="1">
      <c r="B84" s="23"/>
      <c r="C84" s="53" t="s">
        <v>205</v>
      </c>
      <c r="D84" s="40" t="s">
        <v>204</v>
      </c>
      <c r="E84" s="65">
        <f>1126.2+625.6+397.9</f>
        <v>2149.7000000000003</v>
      </c>
      <c r="F84" s="65"/>
      <c r="G84" s="65"/>
      <c r="H84" s="73"/>
      <c r="I84" s="105"/>
    </row>
    <row r="85" spans="2:12" ht="30.75" customHeight="1">
      <c r="B85" s="25"/>
      <c r="C85" s="52" t="s">
        <v>34</v>
      </c>
      <c r="D85" s="41" t="s">
        <v>128</v>
      </c>
      <c r="E85" s="32">
        <f>SUM(E86:E88)</f>
        <v>15959.699999999999</v>
      </c>
      <c r="F85" s="32">
        <f>SUM(F86:F88)</f>
        <v>16358.900000000001</v>
      </c>
      <c r="G85" s="32">
        <f>SUM(G86:G88)</f>
        <v>16364.100000000002</v>
      </c>
      <c r="H85" s="106"/>
      <c r="I85" s="107"/>
      <c r="J85" s="106"/>
      <c r="K85" s="106"/>
      <c r="L85" s="106"/>
    </row>
    <row r="86" spans="2:9" ht="51" customHeight="1">
      <c r="B86" s="25"/>
      <c r="C86" s="58" t="s">
        <v>58</v>
      </c>
      <c r="D86" s="40" t="s">
        <v>129</v>
      </c>
      <c r="E86" s="65">
        <v>1130.4</v>
      </c>
      <c r="F86" s="65"/>
      <c r="G86" s="65"/>
      <c r="H86" s="73"/>
      <c r="I86" s="105"/>
    </row>
    <row r="87" spans="2:9" ht="52.5" customHeight="1">
      <c r="B87" s="23"/>
      <c r="C87" s="58" t="s">
        <v>7</v>
      </c>
      <c r="D87" s="40" t="s">
        <v>130</v>
      </c>
      <c r="E87" s="65">
        <v>13000</v>
      </c>
      <c r="F87" s="65">
        <v>0</v>
      </c>
      <c r="G87" s="65">
        <v>0</v>
      </c>
      <c r="H87" s="73"/>
      <c r="I87" s="105"/>
    </row>
    <row r="88" spans="2:12" ht="54" customHeight="1">
      <c r="B88" s="23"/>
      <c r="C88" s="59" t="s">
        <v>71</v>
      </c>
      <c r="D88" s="40" t="s">
        <v>131</v>
      </c>
      <c r="E88" s="65">
        <f>16251.2-13007.2-1130.4+109.7-394</f>
        <v>1829.2999999999997</v>
      </c>
      <c r="F88" s="65">
        <f>16256.5-7.3+109.7</f>
        <v>16358.900000000001</v>
      </c>
      <c r="G88" s="65">
        <f>16261.7-7.3+109.7</f>
        <v>16364.100000000002</v>
      </c>
      <c r="H88" s="73"/>
      <c r="I88" s="105"/>
      <c r="K88" s="108"/>
      <c r="L88" s="109"/>
    </row>
    <row r="89" spans="2:12" ht="44.25" customHeight="1">
      <c r="B89" s="23"/>
      <c r="C89" s="52" t="s">
        <v>35</v>
      </c>
      <c r="D89" s="41" t="s">
        <v>132</v>
      </c>
      <c r="E89" s="32">
        <f>SUM(E90:E92)</f>
        <v>40463.7</v>
      </c>
      <c r="F89" s="32">
        <f>SUM(F90:F92)</f>
        <v>29127.3</v>
      </c>
      <c r="G89" s="32">
        <f>SUM(G90:G92)</f>
        <v>24567.2</v>
      </c>
      <c r="H89" s="107"/>
      <c r="I89" s="107"/>
      <c r="J89" s="107"/>
      <c r="K89" s="107"/>
      <c r="L89" s="107"/>
    </row>
    <row r="90" spans="2:9" ht="63.75" customHeight="1">
      <c r="B90" s="23"/>
      <c r="C90" s="57" t="s">
        <v>192</v>
      </c>
      <c r="D90" s="40" t="s">
        <v>133</v>
      </c>
      <c r="E90" s="65">
        <f>2808.4-535.3+550+404.6</f>
        <v>3227.7000000000003</v>
      </c>
      <c r="F90" s="65">
        <f>2908-577.8</f>
        <v>2330.2</v>
      </c>
      <c r="G90" s="65">
        <v>1965.4</v>
      </c>
      <c r="H90" s="73"/>
      <c r="I90" s="105"/>
    </row>
    <row r="91" spans="2:9" ht="51.75" customHeight="1">
      <c r="B91" s="23"/>
      <c r="C91" s="57" t="s">
        <v>191</v>
      </c>
      <c r="D91" s="40" t="s">
        <v>217</v>
      </c>
      <c r="E91" s="65">
        <f>117.8</f>
        <v>117.8</v>
      </c>
      <c r="F91" s="65"/>
      <c r="G91" s="65"/>
      <c r="H91" s="73"/>
      <c r="I91" s="105"/>
    </row>
    <row r="92" spans="2:12" ht="50.25" customHeight="1">
      <c r="B92" s="23"/>
      <c r="C92" s="58" t="s">
        <v>193</v>
      </c>
      <c r="D92" s="40" t="s">
        <v>134</v>
      </c>
      <c r="E92" s="65">
        <f>26141.2+6150+4827</f>
        <v>37118.2</v>
      </c>
      <c r="F92" s="65">
        <v>26797.1</v>
      </c>
      <c r="G92" s="65">
        <v>22601.8</v>
      </c>
      <c r="H92" s="110"/>
      <c r="I92" s="105"/>
      <c r="J92" s="110"/>
      <c r="L92" s="105"/>
    </row>
    <row r="93" spans="2:12" ht="39" customHeight="1">
      <c r="B93" s="23"/>
      <c r="C93" s="58" t="s">
        <v>47</v>
      </c>
      <c r="D93" s="40" t="s">
        <v>135</v>
      </c>
      <c r="E93" s="65">
        <v>6.8</v>
      </c>
      <c r="F93" s="65">
        <v>6.6</v>
      </c>
      <c r="G93" s="65">
        <v>79.4</v>
      </c>
      <c r="H93" s="111"/>
      <c r="I93" s="107"/>
      <c r="J93" s="111"/>
      <c r="K93" s="111"/>
      <c r="L93" s="111"/>
    </row>
    <row r="94" spans="2:12" ht="38.25" customHeight="1">
      <c r="B94" s="23"/>
      <c r="C94" s="58" t="s">
        <v>48</v>
      </c>
      <c r="D94" s="40" t="s">
        <v>136</v>
      </c>
      <c r="E94" s="65">
        <f>635.6-84.6</f>
        <v>551</v>
      </c>
      <c r="F94" s="65">
        <v>661.1</v>
      </c>
      <c r="G94" s="65">
        <v>694.1</v>
      </c>
      <c r="H94" s="107"/>
      <c r="I94" s="107"/>
      <c r="J94" s="107"/>
      <c r="K94" s="107"/>
      <c r="L94" s="107"/>
    </row>
    <row r="95" spans="2:12" ht="69" customHeight="1">
      <c r="B95" s="23"/>
      <c r="C95" s="59" t="s">
        <v>67</v>
      </c>
      <c r="D95" s="40" t="s">
        <v>137</v>
      </c>
      <c r="E95" s="65">
        <f>40095.6+3507.4+850-494.7</f>
        <v>43958.3</v>
      </c>
      <c r="F95" s="65">
        <v>41391.8</v>
      </c>
      <c r="G95" s="65">
        <v>43003</v>
      </c>
      <c r="H95" s="107"/>
      <c r="I95" s="107"/>
      <c r="J95" s="107"/>
      <c r="K95" s="107"/>
      <c r="L95" s="107"/>
    </row>
    <row r="96" spans="2:12" ht="43.5" customHeight="1">
      <c r="B96" s="23"/>
      <c r="C96" s="52" t="s">
        <v>66</v>
      </c>
      <c r="D96" s="41" t="s">
        <v>138</v>
      </c>
      <c r="E96" s="32">
        <f>SUM(E97:E98)</f>
        <v>775.4</v>
      </c>
      <c r="F96" s="32">
        <f>SUM(F97:F98)</f>
        <v>724.7</v>
      </c>
      <c r="G96" s="32">
        <f>SUM(G97:G98)</f>
        <v>701.9000000000001</v>
      </c>
      <c r="H96" s="107"/>
      <c r="I96" s="107"/>
      <c r="J96" s="107"/>
      <c r="K96" s="107"/>
      <c r="L96" s="107"/>
    </row>
    <row r="97" spans="2:9" ht="39" customHeight="1">
      <c r="B97" s="23"/>
      <c r="C97" s="58" t="s">
        <v>44</v>
      </c>
      <c r="D97" s="40" t="s">
        <v>139</v>
      </c>
      <c r="E97" s="65">
        <f>59.1-0.2+3.2</f>
        <v>62.1</v>
      </c>
      <c r="F97" s="65">
        <f>58.2-0.2</f>
        <v>58</v>
      </c>
      <c r="G97" s="65">
        <f>56.5-0.3</f>
        <v>56.2</v>
      </c>
      <c r="H97" s="73"/>
      <c r="I97" s="105"/>
    </row>
    <row r="98" spans="2:9" ht="44.25" customHeight="1">
      <c r="B98" s="23"/>
      <c r="C98" s="61" t="s">
        <v>32</v>
      </c>
      <c r="D98" s="40" t="s">
        <v>140</v>
      </c>
      <c r="E98" s="66">
        <f>679.8-1.9+35.4</f>
        <v>713.3</v>
      </c>
      <c r="F98" s="66">
        <f>669.2-2.5</f>
        <v>666.7</v>
      </c>
      <c r="G98" s="66">
        <f>649.2-3.5</f>
        <v>645.7</v>
      </c>
      <c r="H98" s="73"/>
      <c r="I98" s="103"/>
    </row>
    <row r="99" spans="2:12" ht="44.25" customHeight="1">
      <c r="B99" s="23"/>
      <c r="C99" s="59" t="s">
        <v>87</v>
      </c>
      <c r="D99" s="60" t="s">
        <v>141</v>
      </c>
      <c r="E99" s="127">
        <v>95776.4</v>
      </c>
      <c r="F99" s="127">
        <v>76306.4</v>
      </c>
      <c r="G99" s="127">
        <v>77646.5</v>
      </c>
      <c r="H99" s="112"/>
      <c r="I99" s="113"/>
      <c r="J99" s="112"/>
      <c r="K99" s="112"/>
      <c r="L99" s="112"/>
    </row>
    <row r="100" spans="2:12" ht="29.25" customHeight="1">
      <c r="B100" s="23" t="s">
        <v>20</v>
      </c>
      <c r="C100" s="34" t="s">
        <v>11</v>
      </c>
      <c r="D100" s="35" t="s">
        <v>142</v>
      </c>
      <c r="E100" s="29">
        <f>SUM(E101:E107)</f>
        <v>11824.4</v>
      </c>
      <c r="F100" s="29">
        <f>SUM(F101:F107)</f>
        <v>29373.2</v>
      </c>
      <c r="G100" s="29">
        <f>SUM(G101:G107)</f>
        <v>29373.2</v>
      </c>
      <c r="H100" s="89"/>
      <c r="I100" s="89"/>
      <c r="J100" s="89"/>
      <c r="K100" s="89"/>
      <c r="L100" s="89"/>
    </row>
    <row r="101" spans="2:12" ht="30" customHeight="1" hidden="1">
      <c r="B101" s="23"/>
      <c r="C101" s="137" t="s">
        <v>149</v>
      </c>
      <c r="D101" s="75" t="s">
        <v>150</v>
      </c>
      <c r="E101" s="64"/>
      <c r="F101" s="70"/>
      <c r="G101" s="70"/>
      <c r="H101" s="114"/>
      <c r="I101" s="92"/>
      <c r="J101" s="92"/>
      <c r="K101" s="92"/>
      <c r="L101" s="115"/>
    </row>
    <row r="102" spans="2:12" ht="48" customHeight="1" hidden="1">
      <c r="B102" s="23"/>
      <c r="C102" s="138"/>
      <c r="D102" s="75" t="s">
        <v>169</v>
      </c>
      <c r="E102" s="64"/>
      <c r="F102" s="70"/>
      <c r="G102" s="70"/>
      <c r="H102" s="114"/>
      <c r="I102" s="92"/>
      <c r="J102" s="92"/>
      <c r="K102" s="92"/>
      <c r="L102" s="115"/>
    </row>
    <row r="103" spans="2:12" ht="54" customHeight="1">
      <c r="B103" s="23"/>
      <c r="C103" s="26" t="s">
        <v>197</v>
      </c>
      <c r="D103" s="75" t="s">
        <v>196</v>
      </c>
      <c r="E103" s="64">
        <v>9374.4</v>
      </c>
      <c r="F103" s="64">
        <v>28123.2</v>
      </c>
      <c r="G103" s="64">
        <v>28123.2</v>
      </c>
      <c r="H103" s="114"/>
      <c r="I103" s="92"/>
      <c r="J103" s="92"/>
      <c r="K103" s="92"/>
      <c r="L103" s="115"/>
    </row>
    <row r="104" spans="2:12" ht="49.5" customHeight="1">
      <c r="B104" s="23"/>
      <c r="C104" s="26" t="s">
        <v>154</v>
      </c>
      <c r="D104" s="46" t="s">
        <v>170</v>
      </c>
      <c r="E104" s="64">
        <v>1200</v>
      </c>
      <c r="F104" s="70"/>
      <c r="G104" s="70"/>
      <c r="H104" s="114"/>
      <c r="I104" s="92"/>
      <c r="J104" s="92"/>
      <c r="K104" s="92"/>
      <c r="L104" s="115"/>
    </row>
    <row r="105" spans="2:12" ht="32.25" customHeight="1" hidden="1">
      <c r="B105" s="23"/>
      <c r="C105" s="76" t="s">
        <v>151</v>
      </c>
      <c r="D105" s="46" t="s">
        <v>171</v>
      </c>
      <c r="E105" s="64"/>
      <c r="F105" s="70"/>
      <c r="G105" s="70"/>
      <c r="H105" s="114"/>
      <c r="I105" s="92"/>
      <c r="J105" s="92"/>
      <c r="K105" s="92"/>
      <c r="L105" s="115"/>
    </row>
    <row r="106" spans="2:12" ht="30" customHeight="1" hidden="1">
      <c r="B106" s="23"/>
      <c r="C106" s="76" t="s">
        <v>153</v>
      </c>
      <c r="D106" s="46" t="s">
        <v>172</v>
      </c>
      <c r="E106" s="64"/>
      <c r="F106" s="70"/>
      <c r="G106" s="70"/>
      <c r="H106" s="114"/>
      <c r="I106" s="92"/>
      <c r="J106" s="92"/>
      <c r="K106" s="92"/>
      <c r="L106" s="115"/>
    </row>
    <row r="107" spans="2:10" ht="57" customHeight="1">
      <c r="B107" s="23"/>
      <c r="C107" s="76" t="s">
        <v>152</v>
      </c>
      <c r="D107" s="46" t="s">
        <v>173</v>
      </c>
      <c r="E107" s="68">
        <v>1250</v>
      </c>
      <c r="F107" s="68">
        <v>1250</v>
      </c>
      <c r="G107" s="68">
        <v>1250</v>
      </c>
      <c r="H107" s="116"/>
      <c r="I107" s="117"/>
      <c r="J107" s="118"/>
    </row>
    <row r="108" spans="2:12" ht="32.25" customHeight="1">
      <c r="B108" s="23" t="s">
        <v>5</v>
      </c>
      <c r="C108" s="54" t="s">
        <v>39</v>
      </c>
      <c r="D108" s="47" t="s">
        <v>40</v>
      </c>
      <c r="E108" s="30">
        <f>E109</f>
        <v>120954.29999999999</v>
      </c>
      <c r="F108" s="30">
        <f>F109</f>
        <v>31959.5</v>
      </c>
      <c r="G108" s="33"/>
      <c r="H108" s="97"/>
      <c r="I108" s="119"/>
      <c r="J108" s="97"/>
      <c r="K108" s="97"/>
      <c r="L108" s="97"/>
    </row>
    <row r="109" spans="2:10" ht="24" customHeight="1">
      <c r="B109" s="23"/>
      <c r="C109" s="26" t="s">
        <v>41</v>
      </c>
      <c r="D109" s="48" t="s">
        <v>42</v>
      </c>
      <c r="E109" s="68">
        <f>122949.4-1995.1</f>
        <v>120954.29999999999</v>
      </c>
      <c r="F109" s="68">
        <f>26629.5+5330</f>
        <v>31959.5</v>
      </c>
      <c r="G109" s="68"/>
      <c r="H109" s="120"/>
      <c r="I109" s="121"/>
      <c r="J109" s="120"/>
    </row>
    <row r="110" spans="2:9" ht="51.75" customHeight="1">
      <c r="B110" s="23" t="s">
        <v>6</v>
      </c>
      <c r="C110" s="55" t="s">
        <v>25</v>
      </c>
      <c r="D110" s="49" t="s">
        <v>37</v>
      </c>
      <c r="E110" s="66"/>
      <c r="F110" s="69" t="s">
        <v>85</v>
      </c>
      <c r="G110" s="69"/>
      <c r="H110" s="73"/>
      <c r="I110" s="122"/>
    </row>
    <row r="111" spans="2:9" ht="44.25" customHeight="1">
      <c r="B111" s="23" t="s">
        <v>43</v>
      </c>
      <c r="C111" s="55" t="s">
        <v>36</v>
      </c>
      <c r="D111" s="49" t="s">
        <v>143</v>
      </c>
      <c r="E111" s="129">
        <v>-551.2</v>
      </c>
      <c r="F111" s="69"/>
      <c r="G111" s="69"/>
      <c r="H111" s="73"/>
      <c r="I111" s="122"/>
    </row>
    <row r="113" ht="12.75">
      <c r="E113" s="14"/>
    </row>
    <row r="114" spans="2:9" ht="12.75">
      <c r="B114" s="11"/>
      <c r="C114" s="11"/>
      <c r="D114" s="11"/>
      <c r="E114" s="13"/>
      <c r="F114" s="15"/>
      <c r="G114" s="15"/>
      <c r="H114" s="15"/>
      <c r="I114" s="15"/>
    </row>
    <row r="115" spans="2:7" ht="12.75">
      <c r="B115" s="11"/>
      <c r="C115" s="11"/>
      <c r="D115" s="11"/>
      <c r="E115" s="11"/>
      <c r="F115" s="12"/>
      <c r="G115" s="12"/>
    </row>
    <row r="116" spans="2:7" ht="12.75">
      <c r="B116" s="11"/>
      <c r="C116" s="11"/>
      <c r="D116" s="11"/>
      <c r="E116" s="11"/>
      <c r="F116" s="12"/>
      <c r="G116" s="12"/>
    </row>
  </sheetData>
  <sheetProtection/>
  <mergeCells count="10">
    <mergeCell ref="F1:G1"/>
    <mergeCell ref="E4:G4"/>
    <mergeCell ref="E3:G3"/>
    <mergeCell ref="C5:G5"/>
    <mergeCell ref="C101:C102"/>
    <mergeCell ref="D74:D77"/>
    <mergeCell ref="C25:C26"/>
    <mergeCell ref="C27:C28"/>
    <mergeCell ref="C20:C21"/>
    <mergeCell ref="C22:C23"/>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2020-11-17T07:19:09Z</cp:lastPrinted>
  <dcterms:created xsi:type="dcterms:W3CDTF">2008-10-30T07:18:08Z</dcterms:created>
  <dcterms:modified xsi:type="dcterms:W3CDTF">2020-11-19T07:23:00Z</dcterms:modified>
  <cp:category/>
  <cp:version/>
  <cp:contentType/>
  <cp:contentStatus/>
</cp:coreProperties>
</file>